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 산림관리팀 업무\0. 26년 제출자료\"/>
    </mc:Choice>
  </mc:AlternateContent>
  <xr:revisionPtr revIDLastSave="0" documentId="8_{68807021-3A49-40A9-BBCC-E602B504C062}" xr6:coauthVersionLast="47" xr6:coauthVersionMax="47" xr10:uidLastSave="{00000000-0000-0000-0000-000000000000}"/>
  <bookViews>
    <workbookView xWindow="-120" yWindow="-120" windowWidth="29040" windowHeight="15720" tabRatio="811" xr2:uid="{00000000-000D-0000-FFFF-FFFF00000000}"/>
  </bookViews>
  <sheets>
    <sheet name="서구" sheetId="32" r:id="rId1"/>
  </sheets>
  <definedNames>
    <definedName name="_xlnm.Print_Area" localSheetId="0">서구!$A$1:$O$27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32" l="1"/>
  <c r="D10" i="32"/>
  <c r="E10" i="32"/>
  <c r="F10" i="32"/>
  <c r="H10" i="32"/>
  <c r="I10" i="32"/>
  <c r="J10" i="32"/>
  <c r="K10" i="32"/>
  <c r="L10" i="32"/>
  <c r="N10" i="32"/>
  <c r="O10" i="32"/>
  <c r="L9" i="32"/>
  <c r="K9" i="32"/>
  <c r="I9" i="32"/>
  <c r="H9" i="32"/>
  <c r="G7" i="32"/>
  <c r="F7" i="32"/>
  <c r="F5" i="32" s="1"/>
  <c r="N11" i="32"/>
  <c r="O11" i="32"/>
  <c r="M10" i="32"/>
  <c r="M9" i="32"/>
  <c r="O7" i="32"/>
  <c r="O5" i="32" s="1"/>
  <c r="O8" i="32"/>
  <c r="O9" i="32"/>
  <c r="E8" i="32"/>
  <c r="D8" i="32"/>
  <c r="C8" i="32"/>
  <c r="C7" i="32"/>
  <c r="M8" i="32"/>
  <c r="M7" i="32"/>
  <c r="N9" i="32"/>
  <c r="J9" i="32"/>
  <c r="G9" i="32"/>
  <c r="F9" i="32"/>
  <c r="E9" i="32"/>
  <c r="D9" i="32"/>
  <c r="C9" i="32"/>
  <c r="K11" i="32"/>
  <c r="I11" i="32"/>
  <c r="F11" i="32"/>
  <c r="C11" i="32"/>
  <c r="M11" i="32"/>
  <c r="L11" i="32"/>
  <c r="J11" i="32"/>
  <c r="H11" i="32"/>
  <c r="G11" i="32"/>
  <c r="E11" i="32"/>
  <c r="D11" i="32"/>
  <c r="O6" i="32" l="1"/>
  <c r="B11" i="32"/>
  <c r="M6" i="32"/>
  <c r="B9" i="32"/>
  <c r="M5" i="32"/>
  <c r="C5" i="32"/>
  <c r="H17" i="32" l="1"/>
  <c r="G17" i="32"/>
  <c r="F17" i="32"/>
  <c r="B17" i="32"/>
  <c r="G10" i="32"/>
  <c r="E6" i="32"/>
  <c r="D6" i="32"/>
  <c r="C6" i="32"/>
  <c r="N8" i="32"/>
  <c r="L8" i="32"/>
  <c r="L6" i="32" s="1"/>
  <c r="K8" i="32"/>
  <c r="J8" i="32"/>
  <c r="J6" i="32" s="1"/>
  <c r="I8" i="32"/>
  <c r="I6" i="32" s="1"/>
  <c r="H8" i="32"/>
  <c r="H6" i="32" s="1"/>
  <c r="G8" i="32"/>
  <c r="F8" i="32"/>
  <c r="N7" i="32"/>
  <c r="N5" i="32" s="1"/>
  <c r="L7" i="32"/>
  <c r="L5" i="32" s="1"/>
  <c r="K7" i="32"/>
  <c r="K5" i="32" s="1"/>
  <c r="J7" i="32"/>
  <c r="J5" i="32" s="1"/>
  <c r="I7" i="32"/>
  <c r="I5" i="32" s="1"/>
  <c r="H7" i="32"/>
  <c r="H5" i="32" s="1"/>
  <c r="G5" i="32"/>
  <c r="E7" i="32"/>
  <c r="E5" i="32" s="1"/>
  <c r="D7" i="32"/>
  <c r="G6" i="32" l="1"/>
  <c r="D5" i="32"/>
  <c r="B7" i="32"/>
  <c r="B5" i="32" s="1"/>
  <c r="K6" i="32"/>
  <c r="N6" i="32"/>
  <c r="F6" i="32"/>
  <c r="B8" i="32"/>
  <c r="B10" i="32"/>
  <c r="B6" i="32" l="1"/>
</calcChain>
</file>

<file path=xl/sharedStrings.xml><?xml version="1.0" encoding="utf-8"?>
<sst xmlns="http://schemas.openxmlformats.org/spreadsheetml/2006/main" count="97" uniqueCount="68">
  <si>
    <t>계</t>
    <phoneticPr fontId="2" type="noConversion"/>
  </si>
  <si>
    <t>위치</t>
  </si>
  <si>
    <t>가정동</t>
  </si>
  <si>
    <t>산7임</t>
  </si>
  <si>
    <t>석남동</t>
  </si>
  <si>
    <t>산2-1임</t>
  </si>
  <si>
    <t>산16임</t>
  </si>
  <si>
    <t>심곡동</t>
  </si>
  <si>
    <t>산67임</t>
  </si>
  <si>
    <t>공촌동</t>
  </si>
  <si>
    <t>산155</t>
  </si>
  <si>
    <t>가좌동</t>
  </si>
  <si>
    <t>산6-2</t>
  </si>
  <si>
    <t>산158</t>
  </si>
  <si>
    <t>검암동</t>
  </si>
  <si>
    <t>산50-6 임</t>
  </si>
  <si>
    <t>산52임</t>
  </si>
  <si>
    <t>읍면동</t>
    <phoneticPr fontId="2" type="noConversion"/>
  </si>
  <si>
    <t>리</t>
    <phoneticPr fontId="2" type="noConversion"/>
  </si>
  <si>
    <t>토석류</t>
    <phoneticPr fontId="2" type="noConversion"/>
  </si>
  <si>
    <t>산사태</t>
    <phoneticPr fontId="2" type="noConversion"/>
  </si>
  <si>
    <t>지정개소</t>
    <phoneticPr fontId="2" type="noConversion"/>
  </si>
  <si>
    <t>지정면적</t>
    <phoneticPr fontId="2" type="noConversion"/>
  </si>
  <si>
    <t>지정번호</t>
    <phoneticPr fontId="2" type="noConversion"/>
  </si>
  <si>
    <t>해제개소</t>
    <phoneticPr fontId="2" type="noConversion"/>
  </si>
  <si>
    <t>해제면적</t>
    <phoneticPr fontId="2" type="noConversion"/>
  </si>
  <si>
    <t>2014-11</t>
    <phoneticPr fontId="2" type="noConversion"/>
  </si>
  <si>
    <t>2015-1</t>
    <phoneticPr fontId="2" type="noConversion"/>
  </si>
  <si>
    <t>2014-2</t>
    <phoneticPr fontId="2" type="noConversion"/>
  </si>
  <si>
    <t>구분</t>
    <phoneticPr fontId="2" type="noConversion"/>
  </si>
  <si>
    <t>지정현황</t>
    <phoneticPr fontId="2" type="noConversion"/>
  </si>
  <si>
    <t>대표지번</t>
    <phoneticPr fontId="2" type="noConversion"/>
  </si>
  <si>
    <t>현황개소</t>
    <phoneticPr fontId="2" type="noConversion"/>
  </si>
  <si>
    <t>현황면적</t>
    <phoneticPr fontId="2" type="noConversion"/>
  </si>
  <si>
    <t>유형</t>
    <phoneticPr fontId="2" type="noConversion"/>
  </si>
  <si>
    <t>지정면적(㎡)</t>
    <phoneticPr fontId="2" type="noConversion"/>
  </si>
  <si>
    <t>지정일자</t>
    <phoneticPr fontId="2" type="noConversion"/>
  </si>
  <si>
    <t>사방시설 설치 및 계획</t>
    <phoneticPr fontId="2" type="noConversion"/>
  </si>
  <si>
    <t>설치(계획)년도</t>
    <phoneticPr fontId="2" type="noConversion"/>
  </si>
  <si>
    <t>시설종류</t>
    <phoneticPr fontId="2" type="noConversion"/>
  </si>
  <si>
    <t>시설규모</t>
    <phoneticPr fontId="2" type="noConversion"/>
  </si>
  <si>
    <t>해제일자</t>
    <phoneticPr fontId="2" type="noConversion"/>
  </si>
  <si>
    <t>지정현황 계</t>
    <phoneticPr fontId="2" type="noConversion"/>
  </si>
  <si>
    <t>ㅁ 총괄</t>
    <phoneticPr fontId="2" type="noConversion"/>
  </si>
  <si>
    <t>ㅁ 상세</t>
    <phoneticPr fontId="2" type="noConversion"/>
  </si>
  <si>
    <t>2014-5</t>
    <phoneticPr fontId="2" type="noConversion"/>
  </si>
  <si>
    <t>2014-1</t>
    <phoneticPr fontId="2" type="noConversion"/>
  </si>
  <si>
    <t>비고</t>
    <phoneticPr fontId="2" type="noConversion"/>
  </si>
  <si>
    <t>2014-13</t>
    <phoneticPr fontId="2" type="noConversion"/>
  </si>
  <si>
    <t>지정 및 해제(계획)</t>
    <phoneticPr fontId="2" type="noConversion"/>
  </si>
  <si>
    <t>2015-06-30</t>
  </si>
  <si>
    <t>2014-07-30</t>
  </si>
  <si>
    <t>2013-10-04</t>
  </si>
  <si>
    <t>2013-1</t>
    <phoneticPr fontId="2" type="noConversion"/>
  </si>
  <si>
    <t>2013-2</t>
    <phoneticPr fontId="2" type="noConversion"/>
  </si>
  <si>
    <t>2015-6</t>
    <phoneticPr fontId="2" type="noConversion"/>
  </si>
  <si>
    <t>2015-5</t>
    <phoneticPr fontId="2" type="noConversion"/>
  </si>
  <si>
    <t>계류보전</t>
  </si>
  <si>
    <t>1km</t>
  </si>
  <si>
    <t>0.5km</t>
  </si>
  <si>
    <t>0.6km</t>
  </si>
  <si>
    <t>1.4km</t>
  </si>
  <si>
    <t>2023년 산사태 발생 
우려지역 실태조사 용역</t>
  </si>
  <si>
    <t>2022년 사방사업 
타당성 평가 부적합 부지</t>
  </si>
  <si>
    <t>사방시설(지정)</t>
    <phoneticPr fontId="2" type="noConversion"/>
  </si>
  <si>
    <t>사방시설(해제)</t>
    <phoneticPr fontId="2" type="noConversion"/>
  </si>
  <si>
    <t>[서해구] 산사태취약지역 관리대장</t>
    <phoneticPr fontId="2" type="noConversion"/>
  </si>
  <si>
    <t>검암동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</si>
</sst>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_-* #,##0.00_-;\-* #,##0.0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4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6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1" fontId="11" fillId="0" borderId="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1" fontId="11" fillId="0" borderId="0" xfId="1" applyFont="1" applyBorder="1">
      <alignment vertical="center"/>
    </xf>
    <xf numFmtId="41" fontId="11" fillId="0" borderId="0" xfId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5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4" fillId="3" borderId="0" xfId="0" applyFont="1" applyFill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41" fontId="10" fillId="2" borderId="1" xfId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177" fontId="17" fillId="0" borderId="1" xfId="1" applyNumberFormat="1" applyFont="1" applyFill="1" applyBorder="1">
      <alignment vertical="center"/>
    </xf>
    <xf numFmtId="41" fontId="20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/>
    </xf>
    <xf numFmtId="41" fontId="10" fillId="2" borderId="1" xfId="0" applyNumberFormat="1" applyFont="1" applyFill="1" applyBorder="1" applyAlignment="1">
      <alignment horizontal="center" vertical="center" wrapText="1"/>
    </xf>
    <xf numFmtId="177" fontId="10" fillId="2" borderId="1" xfId="1" applyNumberFormat="1" applyFont="1" applyFill="1" applyBorder="1" applyAlignment="1">
      <alignment horizontal="center" vertical="center" wrapText="1"/>
    </xf>
    <xf numFmtId="176" fontId="10" fillId="2" borderId="1" xfId="1" applyNumberFormat="1" applyFont="1" applyFill="1" applyBorder="1" applyAlignment="1">
      <alignment horizontal="center" vertical="center" wrapText="1"/>
    </xf>
    <xf numFmtId="41" fontId="10" fillId="2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center" vertical="center"/>
    </xf>
    <xf numFmtId="177" fontId="18" fillId="0" borderId="1" xfId="1" applyNumberFormat="1" applyFont="1" applyFill="1" applyBorder="1">
      <alignment vertical="center"/>
    </xf>
    <xf numFmtId="0" fontId="15" fillId="0" borderId="9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/>
    </xf>
    <xf numFmtId="41" fontId="15" fillId="6" borderId="1" xfId="1" applyFont="1" applyFill="1" applyBorder="1" applyAlignment="1">
      <alignment horizontal="center" vertical="center"/>
    </xf>
    <xf numFmtId="41" fontId="7" fillId="6" borderId="1" xfId="1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41" fontId="15" fillId="6" borderId="3" xfId="1" applyFont="1" applyFill="1" applyBorder="1" applyAlignment="1">
      <alignment horizontal="center" vertical="center"/>
    </xf>
    <xf numFmtId="41" fontId="7" fillId="6" borderId="3" xfId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41" fontId="18" fillId="0" borderId="1" xfId="1" applyNumberFormat="1" applyFont="1" applyFill="1" applyBorder="1">
      <alignment vertical="center"/>
    </xf>
    <xf numFmtId="41" fontId="20" fillId="0" borderId="1" xfId="1" applyNumberFormat="1" applyFont="1" applyFill="1" applyBorder="1" applyAlignment="1">
      <alignment horizontal="center" vertical="center"/>
    </xf>
    <xf numFmtId="41" fontId="17" fillId="0" borderId="1" xfId="1" applyNumberFormat="1" applyFont="1" applyFill="1" applyBorder="1">
      <alignment vertical="center"/>
    </xf>
    <xf numFmtId="0" fontId="21" fillId="0" borderId="2" xfId="0" quotePrefix="1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/>
    </xf>
    <xf numFmtId="41" fontId="7" fillId="0" borderId="15" xfId="0" applyNumberFormat="1" applyFont="1" applyFill="1" applyBorder="1" applyAlignment="1">
      <alignment horizontal="center" vertical="center"/>
    </xf>
    <xf numFmtId="41" fontId="17" fillId="0" borderId="15" xfId="1" applyFont="1" applyFill="1" applyBorder="1" applyAlignment="1">
      <alignment horizontal="center" vertical="center"/>
    </xf>
    <xf numFmtId="177" fontId="17" fillId="0" borderId="15" xfId="1" applyNumberFormat="1" applyFont="1" applyFill="1" applyBorder="1">
      <alignment vertical="center"/>
    </xf>
    <xf numFmtId="41" fontId="18" fillId="0" borderId="15" xfId="1" applyFont="1" applyFill="1" applyBorder="1" applyAlignment="1">
      <alignment horizontal="center" vertical="center"/>
    </xf>
    <xf numFmtId="177" fontId="18" fillId="0" borderId="15" xfId="1" applyNumberFormat="1" applyFont="1" applyFill="1" applyBorder="1">
      <alignment vertical="center"/>
    </xf>
    <xf numFmtId="41" fontId="7" fillId="6" borderId="16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A24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O27"/>
  <sheetViews>
    <sheetView tabSelected="1" view="pageBreakPreview" zoomScale="85" zoomScaleNormal="85" zoomScaleSheetLayoutView="85" workbookViewId="0">
      <selection activeCell="G7" sqref="G7"/>
    </sheetView>
  </sheetViews>
  <sheetFormatPr defaultRowHeight="16.5" x14ac:dyDescent="0.3"/>
  <cols>
    <col min="1" max="1" width="14.125" customWidth="1"/>
    <col min="2" max="2" width="12.75" bestFit="1" customWidth="1"/>
    <col min="3" max="4" width="12" bestFit="1" customWidth="1"/>
    <col min="5" max="5" width="10.375" bestFit="1" customWidth="1"/>
    <col min="6" max="6" width="9" bestFit="1" customWidth="1"/>
    <col min="7" max="7" width="8.875" customWidth="1"/>
    <col min="8" max="8" width="10.875" customWidth="1"/>
    <col min="9" max="9" width="10.75" bestFit="1" customWidth="1"/>
    <col min="10" max="10" width="10.75" customWidth="1"/>
    <col min="11" max="11" width="11.5" customWidth="1"/>
    <col min="12" max="12" width="11.375" customWidth="1"/>
    <col min="13" max="13" width="10.625" customWidth="1"/>
    <col min="14" max="14" width="11.5" customWidth="1"/>
  </cols>
  <sheetData>
    <row r="1" spans="1:15" ht="34.5" customHeight="1" x14ac:dyDescent="0.3">
      <c r="A1" s="48" t="s">
        <v>66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s="5" customFormat="1" ht="31.5" x14ac:dyDescent="0.3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5" s="8" customFormat="1" ht="21" thickBot="1" x14ac:dyDescent="0.35">
      <c r="A3" s="49" t="s">
        <v>43</v>
      </c>
      <c r="B3" s="49"/>
      <c r="C3" s="49"/>
      <c r="D3" s="49"/>
      <c r="E3" s="49"/>
      <c r="F3" s="14"/>
      <c r="G3" s="14"/>
      <c r="H3" s="14"/>
      <c r="I3" s="13"/>
      <c r="J3" s="13"/>
      <c r="K3" s="13"/>
      <c r="L3" s="13"/>
      <c r="M3" s="13"/>
      <c r="N3" s="13"/>
    </row>
    <row r="4" spans="1:15" x14ac:dyDescent="0.3">
      <c r="A4" s="32" t="s">
        <v>29</v>
      </c>
      <c r="B4" s="33" t="s">
        <v>0</v>
      </c>
      <c r="C4" s="16">
        <v>2013</v>
      </c>
      <c r="D4" s="16">
        <v>2014</v>
      </c>
      <c r="E4" s="16">
        <v>2015</v>
      </c>
      <c r="F4" s="16">
        <v>2016</v>
      </c>
      <c r="G4" s="16">
        <v>2017</v>
      </c>
      <c r="H4" s="16">
        <v>2018</v>
      </c>
      <c r="I4" s="16">
        <v>2019</v>
      </c>
      <c r="J4" s="16">
        <v>2020</v>
      </c>
      <c r="K4" s="16">
        <v>2021</v>
      </c>
      <c r="L4" s="16">
        <v>2022</v>
      </c>
      <c r="M4" s="16">
        <v>2023</v>
      </c>
      <c r="N4" s="16">
        <v>2024</v>
      </c>
      <c r="O4" s="63">
        <v>2025</v>
      </c>
    </row>
    <row r="5" spans="1:15" s="7" customFormat="1" x14ac:dyDescent="0.3">
      <c r="A5" s="38" t="s">
        <v>32</v>
      </c>
      <c r="B5" s="35">
        <f>B7-B9</f>
        <v>5</v>
      </c>
      <c r="C5" s="36">
        <f>C7-C9</f>
        <v>2</v>
      </c>
      <c r="D5" s="36">
        <f t="shared" ref="D5:M5" si="0">D7-D9</f>
        <v>5</v>
      </c>
      <c r="E5" s="36">
        <f t="shared" si="0"/>
        <v>3</v>
      </c>
      <c r="F5" s="36">
        <f t="shared" si="0"/>
        <v>0</v>
      </c>
      <c r="G5" s="36">
        <f t="shared" si="0"/>
        <v>0</v>
      </c>
      <c r="H5" s="36">
        <f t="shared" si="0"/>
        <v>0</v>
      </c>
      <c r="I5" s="36">
        <f t="shared" si="0"/>
        <v>0</v>
      </c>
      <c r="J5" s="36">
        <f t="shared" si="0"/>
        <v>0</v>
      </c>
      <c r="K5" s="36">
        <f t="shared" si="0"/>
        <v>0</v>
      </c>
      <c r="L5" s="36">
        <f t="shared" si="0"/>
        <v>0</v>
      </c>
      <c r="M5" s="36">
        <f t="shared" si="0"/>
        <v>-5</v>
      </c>
      <c r="N5" s="36">
        <f t="shared" ref="N5" si="1">N7+N9</f>
        <v>0</v>
      </c>
      <c r="O5" s="64">
        <f t="shared" ref="O5" si="2">O7+O9</f>
        <v>0</v>
      </c>
    </row>
    <row r="6" spans="1:15" s="7" customFormat="1" x14ac:dyDescent="0.3">
      <c r="A6" s="38" t="s">
        <v>33</v>
      </c>
      <c r="B6" s="35">
        <f>B8-B10</f>
        <v>26946</v>
      </c>
      <c r="C6" s="36">
        <f>C8-C10</f>
        <v>2000</v>
      </c>
      <c r="D6" s="36">
        <f t="shared" ref="D6:M6" si="3">D8-D10</f>
        <v>34200</v>
      </c>
      <c r="E6" s="36">
        <f t="shared" si="3"/>
        <v>4448</v>
      </c>
      <c r="F6" s="36">
        <f t="shared" si="3"/>
        <v>0</v>
      </c>
      <c r="G6" s="36">
        <f t="shared" si="3"/>
        <v>0</v>
      </c>
      <c r="H6" s="36">
        <f t="shared" si="3"/>
        <v>0</v>
      </c>
      <c r="I6" s="36">
        <f t="shared" si="3"/>
        <v>0</v>
      </c>
      <c r="J6" s="36">
        <f t="shared" si="3"/>
        <v>0</v>
      </c>
      <c r="K6" s="36">
        <f t="shared" si="3"/>
        <v>0</v>
      </c>
      <c r="L6" s="36">
        <f t="shared" si="3"/>
        <v>0</v>
      </c>
      <c r="M6" s="36">
        <f t="shared" si="3"/>
        <v>-13702</v>
      </c>
      <c r="N6" s="36">
        <f t="shared" ref="N6" si="4">N8+N10</f>
        <v>0</v>
      </c>
      <c r="O6" s="64">
        <f t="shared" ref="O6" si="5">O8+O10</f>
        <v>0</v>
      </c>
    </row>
    <row r="7" spans="1:15" s="9" customFormat="1" x14ac:dyDescent="0.3">
      <c r="A7" s="34" t="s">
        <v>21</v>
      </c>
      <c r="B7" s="21">
        <f>SUM(C7:N7)</f>
        <v>10</v>
      </c>
      <c r="C7" s="17">
        <f>COUNTIF($I$18:$I$27,"*2013*")</f>
        <v>2</v>
      </c>
      <c r="D7" s="17">
        <f>COUNTIF($I$18:$I$27,"*2014*")</f>
        <v>5</v>
      </c>
      <c r="E7" s="17">
        <f>COUNTIF($I$18:$I$27,"*2015*")</f>
        <v>3</v>
      </c>
      <c r="F7" s="17">
        <f>COUNTIF($I$18:$I$27,"2016")</f>
        <v>0</v>
      </c>
      <c r="G7" s="17">
        <f>COUNTIF($I$18:$I$27,"2017")</f>
        <v>0</v>
      </c>
      <c r="H7" s="17">
        <f>COUNTIF($I$18:$I$27,"*2018*")</f>
        <v>0</v>
      </c>
      <c r="I7" s="17">
        <f>COUNTIF($I$18:$I$27,"*2019*")</f>
        <v>0</v>
      </c>
      <c r="J7" s="17">
        <f>COUNTIF($I$18:$I$27,"*2020*")</f>
        <v>0</v>
      </c>
      <c r="K7" s="17">
        <f>COUNTIF($I$18:$I$27,"*2021*")</f>
        <v>0</v>
      </c>
      <c r="L7" s="17">
        <f>COUNTIF($I$18:$I$27,"*2022*")</f>
        <v>0</v>
      </c>
      <c r="M7" s="17">
        <f>COUNTIF($I$18:$I$27,"*2023*")</f>
        <v>0</v>
      </c>
      <c r="N7" s="17">
        <f>COUNTIF($I$18:$I$27,"*2024*")</f>
        <v>0</v>
      </c>
      <c r="O7" s="65">
        <f>COUNTIF($I$18:$I$27,"*2024*")</f>
        <v>0</v>
      </c>
    </row>
    <row r="8" spans="1:15" s="9" customFormat="1" x14ac:dyDescent="0.3">
      <c r="A8" s="34" t="s">
        <v>22</v>
      </c>
      <c r="B8" s="21">
        <f>SUM(C8:N8)</f>
        <v>40648</v>
      </c>
      <c r="C8" s="61">
        <f>SUMIF($I$18:$I$27,"*2013*",$H$18:$H$27)</f>
        <v>2000</v>
      </c>
      <c r="D8" s="61">
        <f>SUMIF($I$18:$I$27,"*2014*",$H$18:$H$27)</f>
        <v>34200</v>
      </c>
      <c r="E8" s="61">
        <f>SUMIF($I$18:$I$27,"*2015*",$H$18:$H$27)</f>
        <v>4448</v>
      </c>
      <c r="F8" s="19">
        <f>SUMIF($I$18:$I$27,"*2016*",$H$18:$H$27)</f>
        <v>0</v>
      </c>
      <c r="G8" s="19">
        <f>SUMIF($I$18:$I$27,"*2017*",$H$18:$H$27)</f>
        <v>0</v>
      </c>
      <c r="H8" s="19">
        <f>SUMIF($I$18:$I$27,"*2018*",$H$18:$H$27)</f>
        <v>0</v>
      </c>
      <c r="I8" s="19">
        <f>SUMIF($I$18:$I$27,"*2019*",$H$18:$H$27)</f>
        <v>0</v>
      </c>
      <c r="J8" s="19">
        <f>SUMIF($I$18:$I$27,"*2020*",$H$18:$H$27)</f>
        <v>0</v>
      </c>
      <c r="K8" s="19">
        <f>SUMIF($I$18:$I$27,"*2021*",$H$18:$H$27)</f>
        <v>0</v>
      </c>
      <c r="L8" s="19">
        <f>SUMIF($I$18:$I$27,"*2022*",$H$18:$H$27)</f>
        <v>0</v>
      </c>
      <c r="M8" s="19">
        <f>SUMIF($I$18:$I$27,"*2023*",$H$18:$H$27)</f>
        <v>0</v>
      </c>
      <c r="N8" s="19">
        <f>SUMIF($I$18:$I$27,"*2024*",$H$18:$H$27)</f>
        <v>0</v>
      </c>
      <c r="O8" s="66">
        <f>SUMIF($I$18:$I$27,"*2024*",$H$18:$H$27)</f>
        <v>0</v>
      </c>
    </row>
    <row r="9" spans="1:15" x14ac:dyDescent="0.3">
      <c r="A9" s="39" t="s">
        <v>24</v>
      </c>
      <c r="B9" s="20">
        <f>SUM(C9:N9)</f>
        <v>5</v>
      </c>
      <c r="C9" s="18">
        <f>COUNTIF($J$18:$J$27,"2013")</f>
        <v>0</v>
      </c>
      <c r="D9" s="18">
        <f>COUNTIF($J$18:$J$27,"2014")</f>
        <v>0</v>
      </c>
      <c r="E9" s="18">
        <f>COUNTIF($J$18:$J$27,"2015")</f>
        <v>0</v>
      </c>
      <c r="F9" s="18">
        <f>COUNTIF($J$18:$J$27,"2016")</f>
        <v>0</v>
      </c>
      <c r="G9" s="18">
        <f>COUNTIF($J$18:$J$27,"2017")</f>
        <v>0</v>
      </c>
      <c r="H9" s="18">
        <f>COUNTIF($J$18:$J$27,"2018")</f>
        <v>0</v>
      </c>
      <c r="I9" s="18">
        <f>COUNTIF($J$18:$J$27,"2019")</f>
        <v>0</v>
      </c>
      <c r="J9" s="18">
        <f>COUNTIF($J$18:$J$27,"2020")</f>
        <v>0</v>
      </c>
      <c r="K9" s="18">
        <f>COUNTIF($J$18:$J$27,"2021")</f>
        <v>0</v>
      </c>
      <c r="L9" s="18">
        <f>COUNTIF($J$18:$J$27,"2022")</f>
        <v>0</v>
      </c>
      <c r="M9" s="18">
        <f>COUNTIF($J$18:$J$27,"2023")</f>
        <v>5</v>
      </c>
      <c r="N9" s="18">
        <f>COUNTIF($J$18:$J$27,"2024")</f>
        <v>0</v>
      </c>
      <c r="O9" s="67">
        <f>COUNTIF($J$18:$J$27,"2024")</f>
        <v>0</v>
      </c>
    </row>
    <row r="10" spans="1:15" x14ac:dyDescent="0.3">
      <c r="A10" s="39" t="s">
        <v>25</v>
      </c>
      <c r="B10" s="60">
        <f>SUM(C10:N10)</f>
        <v>13702</v>
      </c>
      <c r="C10" s="37">
        <f>SUMIF($J$18:$J$27,"2013",$H$18:$H$27)</f>
        <v>0</v>
      </c>
      <c r="D10" s="37">
        <f>SUMIF($J$18:$J$27,"2014",$H$18:$H$27)</f>
        <v>0</v>
      </c>
      <c r="E10" s="37">
        <f>SUMIF($J$18:$J$27,"2015",$H$18:$H$27)</f>
        <v>0</v>
      </c>
      <c r="F10" s="37">
        <f>SUMIF($J$18:$J$27,"2016",$H$18:$H$27)</f>
        <v>0</v>
      </c>
      <c r="G10" s="37">
        <f>SUMIF($J$18:$J$27,"*2017*",$H$18:$H$27)</f>
        <v>0</v>
      </c>
      <c r="H10" s="37">
        <f>SUMIF($J$18:$J$27,"2018",$H$18:$H$27)</f>
        <v>0</v>
      </c>
      <c r="I10" s="37">
        <f>SUMIF($J$18:$J$27,"2019",$H$18:$H$27)</f>
        <v>0</v>
      </c>
      <c r="J10" s="37">
        <f>SUMIF($J$18:$J$27,"2020",$H$18:$H$27)</f>
        <v>0</v>
      </c>
      <c r="K10" s="37">
        <f>SUMIF($J$18:$J$27,"2021",$H$18:$H$27)</f>
        <v>0</v>
      </c>
      <c r="L10" s="37">
        <f>SUMIF($J$18:$J$27,"2022",$H$18:$H$27)</f>
        <v>0</v>
      </c>
      <c r="M10" s="59">
        <f>SUMIF($J$18:$J$27,"2023",$H$18:$H$27)</f>
        <v>13702</v>
      </c>
      <c r="N10" s="37">
        <f>SUMIF($J$18:$J$27,"2024",$H$18:$H$27)</f>
        <v>0</v>
      </c>
      <c r="O10" s="68">
        <f>SUMIF($J$18:$J$27,"2025",$H$18:$H$27)</f>
        <v>0</v>
      </c>
    </row>
    <row r="11" spans="1:15" x14ac:dyDescent="0.3">
      <c r="A11" s="41" t="s">
        <v>64</v>
      </c>
      <c r="B11" s="42">
        <f>SUM(C11:N11)</f>
        <v>9</v>
      </c>
      <c r="C11" s="43">
        <f>COUNTIF($K$18:$K$27,"2013")</f>
        <v>1</v>
      </c>
      <c r="D11" s="43">
        <f>COUNTIF($K$18:$K$27,"2014")</f>
        <v>2</v>
      </c>
      <c r="E11" s="43">
        <f>COUNTIF($K$18:$K$27,"2015")</f>
        <v>1</v>
      </c>
      <c r="F11" s="43">
        <f>COUNTIF($K$18:$K$27,"2016")</f>
        <v>1</v>
      </c>
      <c r="G11" s="43">
        <f>COUNTIF($K$18:$K$27,"2017")</f>
        <v>1</v>
      </c>
      <c r="H11" s="43">
        <f>COUNTIF($K$18:$K$27,"2018")</f>
        <v>1</v>
      </c>
      <c r="I11" s="43">
        <f>COUNTIF($K$18:$K$27,"2019")</f>
        <v>1</v>
      </c>
      <c r="J11" s="43">
        <f>COUNTIF($K$18:$K$27,"2020")</f>
        <v>1</v>
      </c>
      <c r="K11" s="43">
        <f>COUNTIF($K$18:$K$27,"2021")</f>
        <v>0</v>
      </c>
      <c r="L11" s="43">
        <f>COUNTIF($K$18:$K27,"2022")</f>
        <v>0</v>
      </c>
      <c r="M11" s="43">
        <f>COUNTIF($K$18:$K$27,"2023")</f>
        <v>0</v>
      </c>
      <c r="N11" s="43">
        <f t="shared" ref="N11:O11" si="6">COUNTIF($K$18:$K$27,"2023")</f>
        <v>0</v>
      </c>
      <c r="O11" s="43">
        <f t="shared" si="6"/>
        <v>0</v>
      </c>
    </row>
    <row r="12" spans="1:15" ht="17.25" thickBot="1" x14ac:dyDescent="0.35">
      <c r="A12" s="44" t="s">
        <v>65</v>
      </c>
      <c r="B12" s="45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69"/>
    </row>
    <row r="13" spans="1:15" x14ac:dyDescent="0.3">
      <c r="B13" s="2"/>
      <c r="C13" s="4"/>
      <c r="D13" s="1"/>
      <c r="E13" s="3"/>
      <c r="F13" s="1"/>
      <c r="G13" s="1"/>
      <c r="H13" s="3"/>
      <c r="I13" s="1"/>
      <c r="J13" s="1"/>
      <c r="K13" s="3"/>
      <c r="L13" s="3"/>
      <c r="M13" s="1"/>
    </row>
    <row r="14" spans="1:15" s="8" customFormat="1" ht="21" thickBot="1" x14ac:dyDescent="0.35">
      <c r="A14" s="50" t="s">
        <v>44</v>
      </c>
      <c r="B14" s="50"/>
      <c r="C14" s="50"/>
      <c r="D14" s="50"/>
      <c r="E14" s="50"/>
      <c r="F14" s="15"/>
      <c r="G14" s="15"/>
      <c r="H14" s="15"/>
      <c r="I14" s="13"/>
      <c r="J14" s="13"/>
      <c r="K14" s="13"/>
      <c r="L14" s="13"/>
      <c r="M14" s="13"/>
      <c r="N14" s="13"/>
    </row>
    <row r="15" spans="1:15" x14ac:dyDescent="0.3">
      <c r="A15" s="51" t="s">
        <v>29</v>
      </c>
      <c r="B15" s="52" t="s">
        <v>23</v>
      </c>
      <c r="C15" s="52" t="s">
        <v>1</v>
      </c>
      <c r="D15" s="52"/>
      <c r="E15" s="52"/>
      <c r="F15" s="54" t="s">
        <v>34</v>
      </c>
      <c r="G15" s="55"/>
      <c r="H15" s="52" t="s">
        <v>49</v>
      </c>
      <c r="I15" s="52"/>
      <c r="J15" s="52"/>
      <c r="K15" s="52" t="s">
        <v>37</v>
      </c>
      <c r="L15" s="52"/>
      <c r="M15" s="52"/>
      <c r="N15" s="56" t="s">
        <v>47</v>
      </c>
    </row>
    <row r="16" spans="1:15" ht="16.5" customHeight="1" x14ac:dyDescent="0.3">
      <c r="A16" s="47"/>
      <c r="B16" s="53"/>
      <c r="C16" s="40" t="s">
        <v>17</v>
      </c>
      <c r="D16" s="40" t="s">
        <v>18</v>
      </c>
      <c r="E16" s="40" t="s">
        <v>31</v>
      </c>
      <c r="F16" s="40" t="s">
        <v>19</v>
      </c>
      <c r="G16" s="40" t="s">
        <v>20</v>
      </c>
      <c r="H16" s="40" t="s">
        <v>35</v>
      </c>
      <c r="I16" s="40" t="s">
        <v>36</v>
      </c>
      <c r="J16" s="40" t="s">
        <v>41</v>
      </c>
      <c r="K16" s="40" t="s">
        <v>38</v>
      </c>
      <c r="L16" s="40" t="s">
        <v>39</v>
      </c>
      <c r="M16" s="40" t="s">
        <v>40</v>
      </c>
      <c r="N16" s="57"/>
    </row>
    <row r="17" spans="1:14" x14ac:dyDescent="0.3">
      <c r="A17" s="12" t="s">
        <v>42</v>
      </c>
      <c r="B17" s="10">
        <f>COUNTA(B18:B27)</f>
        <v>10</v>
      </c>
      <c r="C17" s="10"/>
      <c r="D17" s="10"/>
      <c r="E17" s="22"/>
      <c r="F17" s="10">
        <f>COUNTA(F18:F27)</f>
        <v>10</v>
      </c>
      <c r="G17" s="10">
        <f>COUNTA(G18:G27)</f>
        <v>0</v>
      </c>
      <c r="H17" s="23">
        <f>SUM(H18:H27)</f>
        <v>40648</v>
      </c>
      <c r="I17" s="10"/>
      <c r="J17" s="10"/>
      <c r="K17" s="11"/>
      <c r="L17" s="11"/>
      <c r="M17" s="24"/>
      <c r="N17" s="25"/>
    </row>
    <row r="18" spans="1:14" ht="19.5" x14ac:dyDescent="0.3">
      <c r="A18" s="47" t="s">
        <v>30</v>
      </c>
      <c r="B18" s="31" t="s">
        <v>53</v>
      </c>
      <c r="C18" s="58" t="s">
        <v>11</v>
      </c>
      <c r="D18" s="40"/>
      <c r="E18" s="29" t="s">
        <v>12</v>
      </c>
      <c r="F18" s="40">
        <v>0</v>
      </c>
      <c r="G18" s="40"/>
      <c r="H18" s="29">
        <v>1000</v>
      </c>
      <c r="I18" s="29" t="s">
        <v>52</v>
      </c>
      <c r="J18" s="26">
        <v>2023</v>
      </c>
      <c r="K18" s="40">
        <v>2014</v>
      </c>
      <c r="L18" s="26" t="s">
        <v>57</v>
      </c>
      <c r="M18" s="26" t="s">
        <v>58</v>
      </c>
      <c r="N18" s="62" t="s">
        <v>62</v>
      </c>
    </row>
    <row r="19" spans="1:14" x14ac:dyDescent="0.3">
      <c r="A19" s="47"/>
      <c r="B19" s="30" t="s">
        <v>54</v>
      </c>
      <c r="C19" s="58" t="s">
        <v>9</v>
      </c>
      <c r="D19" s="40"/>
      <c r="E19" s="29" t="s">
        <v>13</v>
      </c>
      <c r="F19" s="40">
        <v>0</v>
      </c>
      <c r="G19" s="40"/>
      <c r="H19" s="29">
        <v>1000</v>
      </c>
      <c r="I19" s="29" t="s">
        <v>52</v>
      </c>
      <c r="J19" s="26"/>
      <c r="K19" s="40">
        <v>2014</v>
      </c>
      <c r="L19" s="26" t="s">
        <v>57</v>
      </c>
      <c r="M19" s="26" t="s">
        <v>58</v>
      </c>
      <c r="N19" s="62"/>
    </row>
    <row r="20" spans="1:14" x14ac:dyDescent="0.3">
      <c r="A20" s="47"/>
      <c r="B20" s="30" t="s">
        <v>46</v>
      </c>
      <c r="C20" s="58" t="s">
        <v>2</v>
      </c>
      <c r="D20" s="40"/>
      <c r="E20" s="29" t="s">
        <v>3</v>
      </c>
      <c r="F20" s="40">
        <v>0</v>
      </c>
      <c r="G20" s="27"/>
      <c r="H20" s="29">
        <v>5800</v>
      </c>
      <c r="I20" s="29" t="s">
        <v>51</v>
      </c>
      <c r="J20" s="26"/>
      <c r="K20" s="40">
        <v>2019</v>
      </c>
      <c r="L20" s="26" t="s">
        <v>57</v>
      </c>
      <c r="M20" s="26" t="s">
        <v>58</v>
      </c>
      <c r="N20" s="62"/>
    </row>
    <row r="21" spans="1:14" ht="19.5" x14ac:dyDescent="0.3">
      <c r="A21" s="47"/>
      <c r="B21" s="30" t="s">
        <v>28</v>
      </c>
      <c r="C21" s="58" t="s">
        <v>4</v>
      </c>
      <c r="D21" s="40"/>
      <c r="E21" s="29" t="s">
        <v>5</v>
      </c>
      <c r="F21" s="40">
        <v>0</v>
      </c>
      <c r="G21" s="27"/>
      <c r="H21" s="29">
        <v>5400</v>
      </c>
      <c r="I21" s="29" t="s">
        <v>51</v>
      </c>
      <c r="J21" s="26">
        <v>2023</v>
      </c>
      <c r="K21" s="40">
        <v>2020</v>
      </c>
      <c r="L21" s="26" t="s">
        <v>57</v>
      </c>
      <c r="M21" s="26" t="s">
        <v>59</v>
      </c>
      <c r="N21" s="62" t="s">
        <v>62</v>
      </c>
    </row>
    <row r="22" spans="1:14" x14ac:dyDescent="0.3">
      <c r="A22" s="47"/>
      <c r="B22" s="30" t="s">
        <v>45</v>
      </c>
      <c r="C22" s="58" t="s">
        <v>7</v>
      </c>
      <c r="D22" s="40"/>
      <c r="E22" s="29" t="s">
        <v>8</v>
      </c>
      <c r="F22" s="40">
        <v>0</v>
      </c>
      <c r="G22" s="40"/>
      <c r="H22" s="29">
        <v>8600</v>
      </c>
      <c r="I22" s="29" t="s">
        <v>51</v>
      </c>
      <c r="J22" s="26"/>
      <c r="K22" s="40">
        <v>2015</v>
      </c>
      <c r="L22" s="26" t="s">
        <v>57</v>
      </c>
      <c r="M22" s="26" t="s">
        <v>61</v>
      </c>
      <c r="N22" s="62"/>
    </row>
    <row r="23" spans="1:14" ht="19.5" x14ac:dyDescent="0.3">
      <c r="A23" s="47"/>
      <c r="B23" s="30" t="s">
        <v>26</v>
      </c>
      <c r="C23" s="58" t="s">
        <v>4</v>
      </c>
      <c r="D23" s="40"/>
      <c r="E23" s="29" t="s">
        <v>6</v>
      </c>
      <c r="F23" s="40">
        <v>0</v>
      </c>
      <c r="G23" s="27"/>
      <c r="H23" s="29">
        <v>3800</v>
      </c>
      <c r="I23" s="29" t="s">
        <v>51</v>
      </c>
      <c r="J23" s="26">
        <v>2023</v>
      </c>
      <c r="K23" s="40">
        <v>2017</v>
      </c>
      <c r="L23" s="26" t="s">
        <v>57</v>
      </c>
      <c r="M23" s="26" t="s">
        <v>58</v>
      </c>
      <c r="N23" s="62" t="s">
        <v>62</v>
      </c>
    </row>
    <row r="24" spans="1:14" x14ac:dyDescent="0.3">
      <c r="A24" s="47"/>
      <c r="B24" s="30" t="s">
        <v>48</v>
      </c>
      <c r="C24" s="58" t="s">
        <v>9</v>
      </c>
      <c r="D24" s="40"/>
      <c r="E24" s="29" t="s">
        <v>10</v>
      </c>
      <c r="F24" s="28">
        <v>0</v>
      </c>
      <c r="G24" s="40"/>
      <c r="H24" s="29">
        <v>10600</v>
      </c>
      <c r="I24" s="29" t="s">
        <v>51</v>
      </c>
      <c r="J24" s="26"/>
      <c r="K24" s="40">
        <v>2013</v>
      </c>
      <c r="L24" s="26" t="s">
        <v>57</v>
      </c>
      <c r="M24" s="26" t="s">
        <v>58</v>
      </c>
      <c r="N24" s="62"/>
    </row>
    <row r="25" spans="1:14" ht="19.5" x14ac:dyDescent="0.3">
      <c r="A25" s="47"/>
      <c r="B25" s="30" t="s">
        <v>27</v>
      </c>
      <c r="C25" s="58" t="s">
        <v>14</v>
      </c>
      <c r="D25" s="40"/>
      <c r="E25" s="29" t="s">
        <v>6</v>
      </c>
      <c r="F25" s="40">
        <v>0</v>
      </c>
      <c r="G25" s="40"/>
      <c r="H25" s="29">
        <v>2182</v>
      </c>
      <c r="I25" s="29" t="s">
        <v>50</v>
      </c>
      <c r="J25" s="26">
        <v>2023</v>
      </c>
      <c r="K25" s="40">
        <v>2018</v>
      </c>
      <c r="L25" s="26" t="s">
        <v>57</v>
      </c>
      <c r="M25" s="26" t="s">
        <v>59</v>
      </c>
      <c r="N25" s="62" t="s">
        <v>62</v>
      </c>
    </row>
    <row r="26" spans="1:14" ht="19.5" x14ac:dyDescent="0.3">
      <c r="A26" s="47"/>
      <c r="B26" s="30" t="s">
        <v>56</v>
      </c>
      <c r="C26" s="58" t="s">
        <v>67</v>
      </c>
      <c r="D26" s="40"/>
      <c r="E26" s="29" t="s">
        <v>15</v>
      </c>
      <c r="F26" s="40">
        <v>0</v>
      </c>
      <c r="G26" s="40"/>
      <c r="H26" s="29">
        <v>946</v>
      </c>
      <c r="I26" s="29" t="s">
        <v>50</v>
      </c>
      <c r="J26" s="26"/>
      <c r="K26" s="40"/>
      <c r="L26" s="26"/>
      <c r="M26" s="26"/>
      <c r="N26" s="62" t="s">
        <v>63</v>
      </c>
    </row>
    <row r="27" spans="1:14" ht="19.5" x14ac:dyDescent="0.3">
      <c r="A27" s="47"/>
      <c r="B27" s="30" t="s">
        <v>55</v>
      </c>
      <c r="C27" s="58" t="s">
        <v>7</v>
      </c>
      <c r="D27" s="40"/>
      <c r="E27" s="29" t="s">
        <v>16</v>
      </c>
      <c r="F27" s="40">
        <v>0</v>
      </c>
      <c r="G27" s="40"/>
      <c r="H27" s="29">
        <v>1320</v>
      </c>
      <c r="I27" s="29" t="s">
        <v>50</v>
      </c>
      <c r="J27" s="26">
        <v>2023</v>
      </c>
      <c r="K27" s="40">
        <v>2016</v>
      </c>
      <c r="L27" s="26" t="s">
        <v>57</v>
      </c>
      <c r="M27" s="26" t="s">
        <v>60</v>
      </c>
      <c r="N27" s="62" t="s">
        <v>62</v>
      </c>
    </row>
  </sheetData>
  <mergeCells count="11">
    <mergeCell ref="A1:O1"/>
    <mergeCell ref="A18:A27"/>
    <mergeCell ref="A3:E3"/>
    <mergeCell ref="A14:E14"/>
    <mergeCell ref="A15:A16"/>
    <mergeCell ref="B15:B16"/>
    <mergeCell ref="C15:E15"/>
    <mergeCell ref="F15:G15"/>
    <mergeCell ref="H15:J15"/>
    <mergeCell ref="K15:M15"/>
    <mergeCell ref="N15:N16"/>
  </mergeCells>
  <phoneticPr fontId="2" type="noConversion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서구</vt:lpstr>
      <vt:lpstr>서구!Print_Area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2023-04-18T01:44:47Z</cp:lastPrinted>
  <dcterms:created xsi:type="dcterms:W3CDTF">2022-08-08T17:01:08Z</dcterms:created>
  <dcterms:modified xsi:type="dcterms:W3CDTF">2026-08-18T06:36:41Z</dcterms:modified>
</cp:coreProperties>
</file>